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A6222B15-840C-4D88-9984-BBDD3522300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Games'!$A$1:$L$21</definedName>
    <definedName name="_xlnm.Print_Area" localSheetId="2">Video!$A$1:$K$20</definedName>
    <definedName name="_xlnm.Print_Area" localSheetId="0">'Weekly Summary'!$A$1:$N$23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3" l="1"/>
  <c r="J18" i="3"/>
  <c r="I18" i="3"/>
  <c r="H18" i="3"/>
  <c r="G18" i="3"/>
  <c r="F18" i="3"/>
  <c r="E18" i="3"/>
  <c r="D18" i="3"/>
  <c r="C18" i="3"/>
  <c r="B18" i="3"/>
  <c r="A18" i="3"/>
  <c r="I17" i="2"/>
  <c r="L17" i="2" s="1"/>
  <c r="N18" i="3" s="1"/>
  <c r="A17" i="2"/>
  <c r="I15" i="1"/>
  <c r="H15" i="1"/>
  <c r="F15" i="1"/>
  <c r="E15" i="1"/>
  <c r="J17" i="2" l="1"/>
  <c r="K18" i="3" s="1"/>
  <c r="K17" i="2"/>
  <c r="L18" i="3" s="1"/>
  <c r="J15" i="1"/>
  <c r="G15" i="1"/>
  <c r="J17" i="3" l="1"/>
  <c r="H17" i="3"/>
  <c r="G17" i="3"/>
  <c r="F17" i="3"/>
  <c r="E17" i="3"/>
  <c r="D17" i="3"/>
  <c r="C17" i="3"/>
  <c r="B17" i="3"/>
  <c r="E14" i="1"/>
  <c r="J14" i="1" s="1"/>
  <c r="I16" i="2"/>
  <c r="I17" i="3" s="1"/>
  <c r="H13" i="1"/>
  <c r="H16" i="3"/>
  <c r="G16" i="3"/>
  <c r="F16" i="3"/>
  <c r="E16" i="3"/>
  <c r="D16" i="3"/>
  <c r="C16" i="3"/>
  <c r="B16" i="3"/>
  <c r="E13" i="1"/>
  <c r="J13" i="1" s="1"/>
  <c r="I15" i="2"/>
  <c r="I16" i="3" s="1"/>
  <c r="H15" i="3"/>
  <c r="G15" i="3"/>
  <c r="F15" i="3"/>
  <c r="E15" i="3"/>
  <c r="D15" i="3"/>
  <c r="C15" i="3"/>
  <c r="B15" i="3"/>
  <c r="I14" i="2"/>
  <c r="I15" i="3" s="1"/>
  <c r="E12" i="1"/>
  <c r="J12" i="1" s="1"/>
  <c r="H14" i="3"/>
  <c r="G14" i="3"/>
  <c r="F14" i="3"/>
  <c r="E14" i="3"/>
  <c r="D14" i="3"/>
  <c r="C14" i="3"/>
  <c r="B14" i="3"/>
  <c r="I13" i="2"/>
  <c r="L13" i="2" s="1"/>
  <c r="E11" i="1"/>
  <c r="F11" i="1" s="1"/>
  <c r="L16" i="2" l="1"/>
  <c r="G12" i="1"/>
  <c r="F14" i="1"/>
  <c r="I14" i="1"/>
  <c r="G13" i="1"/>
  <c r="G14" i="1"/>
  <c r="H14" i="1"/>
  <c r="M17" i="3" s="1"/>
  <c r="N17" i="3"/>
  <c r="L14" i="2"/>
  <c r="L15" i="2"/>
  <c r="J16" i="2"/>
  <c r="K17" i="3" s="1"/>
  <c r="K16" i="2"/>
  <c r="J16" i="3"/>
  <c r="F13" i="1"/>
  <c r="M16" i="3"/>
  <c r="I13" i="1"/>
  <c r="J15" i="2"/>
  <c r="K15" i="2"/>
  <c r="L16" i="3" s="1"/>
  <c r="J15" i="3"/>
  <c r="H12" i="1"/>
  <c r="M15" i="3" s="1"/>
  <c r="J14" i="2"/>
  <c r="K14" i="2"/>
  <c r="F12" i="1"/>
  <c r="H11" i="1"/>
  <c r="M14" i="3" s="1"/>
  <c r="I12" i="1"/>
  <c r="J14" i="3"/>
  <c r="G11" i="1"/>
  <c r="I14" i="3"/>
  <c r="K13" i="2"/>
  <c r="J13" i="2"/>
  <c r="K14" i="3" s="1"/>
  <c r="I11" i="1"/>
  <c r="N14" i="3" s="1"/>
  <c r="J11" i="1"/>
  <c r="H13" i="3"/>
  <c r="G13" i="3"/>
  <c r="F13" i="3"/>
  <c r="E13" i="3"/>
  <c r="D13" i="3"/>
  <c r="C13" i="3"/>
  <c r="B13" i="3"/>
  <c r="E10" i="1"/>
  <c r="I12" i="2"/>
  <c r="L12" i="2" s="1"/>
  <c r="L11" i="2"/>
  <c r="H12" i="3"/>
  <c r="G12" i="3"/>
  <c r="F12" i="3"/>
  <c r="E12" i="3"/>
  <c r="D12" i="3"/>
  <c r="C12" i="3"/>
  <c r="B12" i="3"/>
  <c r="I11" i="2"/>
  <c r="J11" i="2" s="1"/>
  <c r="E9" i="1"/>
  <c r="J9" i="1" s="1"/>
  <c r="A8" i="1"/>
  <c r="A11" i="3" s="1"/>
  <c r="H11" i="3"/>
  <c r="G11" i="3"/>
  <c r="F11" i="3"/>
  <c r="E11" i="3"/>
  <c r="D11" i="3"/>
  <c r="C11" i="3"/>
  <c r="B11" i="3"/>
  <c r="E8" i="1"/>
  <c r="J8" i="1" s="1"/>
  <c r="I10" i="2"/>
  <c r="L10" i="2" s="1"/>
  <c r="N15" i="3" l="1"/>
  <c r="N16" i="3"/>
  <c r="I12" i="3"/>
  <c r="L15" i="3"/>
  <c r="L17" i="3"/>
  <c r="K15" i="3"/>
  <c r="K16" i="3"/>
  <c r="L14" i="3"/>
  <c r="H10" i="1"/>
  <c r="M13" i="3" s="1"/>
  <c r="G10" i="1"/>
  <c r="F9" i="1"/>
  <c r="K12" i="3" s="1"/>
  <c r="G9" i="1"/>
  <c r="H8" i="1"/>
  <c r="M11" i="3" s="1"/>
  <c r="J10" i="1"/>
  <c r="F10" i="1"/>
  <c r="J13" i="3"/>
  <c r="I13" i="3"/>
  <c r="H9" i="1"/>
  <c r="M12" i="3" s="1"/>
  <c r="I9" i="1"/>
  <c r="N12" i="3" s="1"/>
  <c r="I10" i="1"/>
  <c r="N13" i="3" s="1"/>
  <c r="A10" i="2"/>
  <c r="J12" i="2"/>
  <c r="K12" i="2"/>
  <c r="J12" i="3"/>
  <c r="K11" i="2"/>
  <c r="F8" i="1"/>
  <c r="I8" i="1"/>
  <c r="N11" i="3" s="1"/>
  <c r="A9" i="1"/>
  <c r="A10" i="1" s="1"/>
  <c r="A11" i="1" s="1"/>
  <c r="J11" i="3"/>
  <c r="I11" i="3"/>
  <c r="G8" i="1"/>
  <c r="J10" i="2"/>
  <c r="K10" i="2"/>
  <c r="A9" i="2"/>
  <c r="A10" i="3"/>
  <c r="H10" i="3"/>
  <c r="G10" i="3"/>
  <c r="F10" i="3"/>
  <c r="E10" i="3"/>
  <c r="D10" i="3"/>
  <c r="C10" i="3"/>
  <c r="B10" i="3"/>
  <c r="E7" i="1"/>
  <c r="I7" i="1" s="1"/>
  <c r="L12" i="3" l="1"/>
  <c r="A14" i="3"/>
  <c r="A12" i="1"/>
  <c r="A13" i="2"/>
  <c r="A13" i="3"/>
  <c r="A12" i="2"/>
  <c r="K13" i="3"/>
  <c r="L13" i="3"/>
  <c r="K11" i="3"/>
  <c r="A12" i="3"/>
  <c r="A11" i="2"/>
  <c r="J10" i="3"/>
  <c r="L11" i="3"/>
  <c r="J7" i="1"/>
  <c r="F7" i="1"/>
  <c r="H7" i="1"/>
  <c r="M10" i="3" s="1"/>
  <c r="G7" i="1"/>
  <c r="A15" i="3" l="1"/>
  <c r="A13" i="1"/>
  <c r="A14" i="2"/>
  <c r="I9" i="2"/>
  <c r="A8" i="2"/>
  <c r="A9" i="3"/>
  <c r="A14" i="1" l="1"/>
  <c r="A15" i="1" s="1"/>
  <c r="A16" i="3"/>
  <c r="A15" i="2"/>
  <c r="L9" i="2"/>
  <c r="N10" i="3" s="1"/>
  <c r="I10" i="3"/>
  <c r="J9" i="2"/>
  <c r="K10" i="3" s="1"/>
  <c r="K9" i="2"/>
  <c r="L10" i="3" s="1"/>
  <c r="B19" i="2"/>
  <c r="C19" i="2"/>
  <c r="D19" i="2"/>
  <c r="A17" i="3" l="1"/>
  <c r="A16" i="2"/>
  <c r="B17" i="1"/>
  <c r="C9" i="3" l="1"/>
  <c r="C20" i="3" s="1"/>
  <c r="D9" i="3"/>
  <c r="D20" i="3" s="1"/>
  <c r="E9" i="3"/>
  <c r="E20" i="3" s="1"/>
  <c r="F9" i="3"/>
  <c r="F20" i="3" s="1"/>
  <c r="G9" i="3"/>
  <c r="G20" i="3" s="1"/>
  <c r="H9" i="3"/>
  <c r="H20" i="3" s="1"/>
  <c r="B9" i="3"/>
  <c r="B20" i="3" s="1"/>
  <c r="E19" i="2" l="1"/>
  <c r="F19" i="2"/>
  <c r="G19" i="2"/>
  <c r="H19" i="2"/>
  <c r="K17" i="1"/>
  <c r="C17" i="1"/>
  <c r="D17" i="1"/>
  <c r="I8" i="2"/>
  <c r="L8" i="2" s="1"/>
  <c r="I2" i="2"/>
  <c r="L19" i="2" l="1"/>
  <c r="I17" i="1"/>
  <c r="G17" i="1"/>
  <c r="F17" i="1"/>
  <c r="K8" i="2"/>
  <c r="K19" i="2" s="1"/>
  <c r="J8" i="2"/>
  <c r="J19" i="2" s="1"/>
  <c r="J6" i="1"/>
  <c r="J17" i="1" s="1"/>
  <c r="I19" i="2"/>
  <c r="J9" i="3"/>
  <c r="J20" i="3" s="1"/>
  <c r="E17" i="1"/>
  <c r="I9" i="3"/>
  <c r="I20" i="3" s="1"/>
  <c r="N9" i="3" l="1"/>
  <c r="N20" i="3" s="1"/>
  <c r="M9" i="3"/>
  <c r="M20" i="3" s="1"/>
  <c r="H17" i="1"/>
  <c r="K9" i="3"/>
  <c r="K20" i="3" s="1"/>
  <c r="L9" i="3"/>
  <c r="L20" i="3" s="1"/>
</calcChain>
</file>

<file path=xl/sharedStrings.xml><?xml version="1.0" encoding="utf-8"?>
<sst xmlns="http://schemas.openxmlformats.org/spreadsheetml/2006/main" count="48" uniqueCount="36">
  <si>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</si>
  <si>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</si>
  <si>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</si>
  <si>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</si>
  <si>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</si>
  <si>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</si>
  <si>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</si>
  <si>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</si>
  <si>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</si>
  <si>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</si>
  <si>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</si>
  <si>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</si>
  <si>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</si>
  <si>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</si>
  <si>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</si>
  <si>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</si>
  <si>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</si>
  <si>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</si>
  <si>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</si>
  <si>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</si>
  <si>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</si>
  <si>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</si>
  <si>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</si>
  <si>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</si>
  <si>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</si>
  <si>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</si>
  <si>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</si>
  <si>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</si>
  <si>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</si>
  <si>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</si>
  <si>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 xml:space="preserve"> </t>
  </si>
  <si>
    <t xml:space="preserve">  *  Represents 5 days to start the fiscal year.</t>
  </si>
  <si>
    <t>FY2025</t>
  </si>
  <si>
    <t>FISCAL YEAR 2026</t>
  </si>
  <si>
    <t>7/5/2025 *</t>
  </si>
  <si>
    <t xml:space="preserve"> FOR THE WEEK ENDING SEPTEMBER 6,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</si>
</sst>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zoomScaleNormal="100" workbookViewId="0">
      <pane ySplit="7" topLeftCell="A8" activePane="bottomLeft" state="frozen"/>
      <selection pane="bottomLeft" activeCell="A20" sqref="A20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tr">
        <f>Video!A6</f>
        <v>7/5/2025 *</v>
      </c>
      <c r="B9" s="6">
        <f>'Table Games'!B8</f>
        <v>52513</v>
      </c>
      <c r="C9" s="6">
        <f>'Table Games'!C8</f>
        <v>-2279</v>
      </c>
      <c r="D9" s="6">
        <f>'Table Games'!D8</f>
        <v>0</v>
      </c>
      <c r="E9" s="6">
        <f>'Table Games'!E8</f>
        <v>0</v>
      </c>
      <c r="F9" s="6">
        <f>'Table Games'!F8</f>
        <v>4589</v>
      </c>
      <c r="G9" s="6">
        <f>'Table Games'!G8</f>
        <v>0</v>
      </c>
      <c r="H9" s="6">
        <f>'Table Games'!H8</f>
        <v>4479</v>
      </c>
      <c r="I9" s="6">
        <f>'Table Games'!I8</f>
        <v>59302</v>
      </c>
      <c r="J9" s="6">
        <f>Video!E6</f>
        <v>36603.480000000025</v>
      </c>
      <c r="K9" s="6">
        <f>'Table Games'!J8+Video!F6</f>
        <v>30967.86</v>
      </c>
      <c r="L9" s="6">
        <f>'Table Games'!K8+Video!G6</f>
        <v>9187.69</v>
      </c>
      <c r="M9" s="6">
        <f>Video!H6</f>
        <v>1720.3600000000001</v>
      </c>
      <c r="N9" s="6">
        <f>'Table Games'!L8+Video!I6</f>
        <v>54029.570000000007</v>
      </c>
    </row>
    <row r="10" spans="1:14" ht="15" customHeight="1" x14ac:dyDescent="0.25">
      <c r="A10" s="10">
        <f>Video!A7</f>
        <v>45850</v>
      </c>
      <c r="B10" s="6">
        <f>'Table Games'!B9</f>
        <v>55388</v>
      </c>
      <c r="C10" s="6">
        <f>'Table Games'!C9</f>
        <v>4622</v>
      </c>
      <c r="D10" s="6">
        <f>'Table Games'!D9</f>
        <v>0</v>
      </c>
      <c r="E10" s="6">
        <f>'Table Games'!E9</f>
        <v>0</v>
      </c>
      <c r="F10" s="6">
        <f>'Table Games'!F9</f>
        <v>17497</v>
      </c>
      <c r="G10" s="6">
        <f>'Table Games'!G9</f>
        <v>6575</v>
      </c>
      <c r="H10" s="6">
        <f>'Table Games'!H9</f>
        <v>2811</v>
      </c>
      <c r="I10" s="6">
        <f>'Table Games'!I9</f>
        <v>86893</v>
      </c>
      <c r="J10" s="6">
        <f>Video!E7</f>
        <v>53708.339999999967</v>
      </c>
      <c r="K10" s="6">
        <f>'Table Games'!J9+Video!F7</f>
        <v>45402.880000000005</v>
      </c>
      <c r="L10" s="6">
        <f>'Table Games'!K9+Video!G7</f>
        <v>13475.07</v>
      </c>
      <c r="M10" s="6">
        <f>Video!H7</f>
        <v>2524.3000000000002</v>
      </c>
      <c r="N10" s="6">
        <f>'Table Games'!L9+Video!I7</f>
        <v>79199.09</v>
      </c>
    </row>
    <row r="11" spans="1:14" ht="15" customHeight="1" x14ac:dyDescent="0.25">
      <c r="A11" s="10">
        <f>Video!A8</f>
        <v>45857</v>
      </c>
      <c r="B11" s="6">
        <f>'Table Games'!B10</f>
        <v>-62034.5</v>
      </c>
      <c r="C11" s="6">
        <f>'Table Games'!C10</f>
        <v>58278</v>
      </c>
      <c r="D11" s="6">
        <f>'Table Games'!D10</f>
        <v>1018.75</v>
      </c>
      <c r="E11" s="6">
        <f>'Table Games'!E10</f>
        <v>0</v>
      </c>
      <c r="F11" s="6">
        <f>'Table Games'!F10</f>
        <v>3133</v>
      </c>
      <c r="G11" s="6">
        <f>'Table Games'!G10</f>
        <v>0</v>
      </c>
      <c r="H11" s="6">
        <f>'Table Games'!H10</f>
        <v>681</v>
      </c>
      <c r="I11" s="6">
        <f>'Table Games'!I10</f>
        <v>1076.25</v>
      </c>
      <c r="J11" s="6">
        <f>Video!E8</f>
        <v>-47803.130000000005</v>
      </c>
      <c r="K11" s="6">
        <f>'Table Games'!J10+Video!F8</f>
        <v>-16886.23</v>
      </c>
      <c r="L11" s="6">
        <f>'Table Games'!K10+Video!G8</f>
        <v>-8072.7199999999993</v>
      </c>
      <c r="M11" s="6">
        <f>Video!H8</f>
        <v>-2246.7600000000002</v>
      </c>
      <c r="N11" s="6">
        <f>'Table Games'!L10+Video!I8</f>
        <v>-19521.169999999998</v>
      </c>
    </row>
    <row r="12" spans="1:14" ht="15" customHeight="1" x14ac:dyDescent="0.25">
      <c r="A12" s="10">
        <f>Video!A9</f>
        <v>45864</v>
      </c>
      <c r="B12" s="6">
        <f>'Table Games'!B11</f>
        <v>135325.5</v>
      </c>
      <c r="C12" s="6">
        <f>'Table Games'!C11</f>
        <v>-23329</v>
      </c>
      <c r="D12" s="6">
        <f>'Table Games'!D11</f>
        <v>0</v>
      </c>
      <c r="E12" s="6">
        <f>'Table Games'!E11</f>
        <v>0</v>
      </c>
      <c r="F12" s="6">
        <f>'Table Games'!F11</f>
        <v>11822</v>
      </c>
      <c r="G12" s="6">
        <f>'Table Games'!G11</f>
        <v>0</v>
      </c>
      <c r="H12" s="6">
        <f>'Table Games'!H11</f>
        <v>17617</v>
      </c>
      <c r="I12" s="6">
        <f>'Table Games'!I11</f>
        <v>141435.5</v>
      </c>
      <c r="J12" s="6">
        <f>Video!E9</f>
        <v>74913.050000000047</v>
      </c>
      <c r="K12" s="6">
        <f>'Table Games'!J11+Video!F9</f>
        <v>69399.360000000001</v>
      </c>
      <c r="L12" s="6">
        <f>'Table Games'!K11+Video!G9</f>
        <v>19806.989999999998</v>
      </c>
      <c r="M12" s="6">
        <f>Video!H9</f>
        <v>3520.91</v>
      </c>
      <c r="N12" s="6">
        <f>'Table Games'!L11+Video!I9</f>
        <v>123621.29000000001</v>
      </c>
    </row>
    <row r="13" spans="1:14" ht="15" customHeight="1" x14ac:dyDescent="0.25">
      <c r="A13" s="10">
        <f>Video!A10</f>
        <v>45871</v>
      </c>
      <c r="B13" s="6">
        <f>'Table Games'!B12</f>
        <v>79056</v>
      </c>
      <c r="C13" s="6">
        <f>'Table Games'!C12</f>
        <v>52781</v>
      </c>
      <c r="D13" s="6">
        <f>'Table Games'!D12</f>
        <v>3865</v>
      </c>
      <c r="E13" s="6">
        <f>'Table Games'!E12</f>
        <v>0</v>
      </c>
      <c r="F13" s="6">
        <f>'Table Games'!F12</f>
        <v>10669</v>
      </c>
      <c r="G13" s="6">
        <f>'Table Games'!G12</f>
        <v>-49925</v>
      </c>
      <c r="H13" s="6">
        <f>'Table Games'!H12</f>
        <v>9896</v>
      </c>
      <c r="I13" s="6">
        <f>'Table Games'!I12</f>
        <v>106342</v>
      </c>
      <c r="J13" s="6">
        <f>Video!E10</f>
        <v>127307.58999999985</v>
      </c>
      <c r="K13" s="6">
        <f>'Table Games'!J12+Video!F10</f>
        <v>77733.33</v>
      </c>
      <c r="L13" s="6">
        <f>'Table Games'!K12+Video!G10</f>
        <v>26959.4</v>
      </c>
      <c r="M13" s="6">
        <f>Video!H10</f>
        <v>5983.45</v>
      </c>
      <c r="N13" s="6">
        <f>'Table Games'!L12+Video!I10</f>
        <v>122973.41</v>
      </c>
    </row>
    <row r="14" spans="1:14" ht="15" customHeight="1" x14ac:dyDescent="0.25">
      <c r="A14" s="10">
        <f>Video!A11</f>
        <v>45878</v>
      </c>
      <c r="B14" s="6">
        <f>'Table Games'!B13</f>
        <v>117258.5</v>
      </c>
      <c r="C14" s="6">
        <f>'Table Games'!C13</f>
        <v>-22058</v>
      </c>
      <c r="D14" s="6">
        <f>'Table Games'!D13</f>
        <v>9292</v>
      </c>
      <c r="E14" s="6">
        <f>'Table Games'!E13</f>
        <v>0</v>
      </c>
      <c r="F14" s="6">
        <f>'Table Games'!F13</f>
        <v>5990</v>
      </c>
      <c r="G14" s="6">
        <f>'Table Games'!G13</f>
        <v>-15475</v>
      </c>
      <c r="H14" s="6">
        <f>'Table Games'!H13</f>
        <v>2391</v>
      </c>
      <c r="I14" s="6">
        <f>'Table Games'!I13</f>
        <v>97398.5</v>
      </c>
      <c r="J14" s="6">
        <f>Video!E11</f>
        <v>51203.669999999925</v>
      </c>
      <c r="K14" s="6">
        <f>'Table Games'!J13+Video!F11</f>
        <v>47652.869999999995</v>
      </c>
      <c r="L14" s="6">
        <f>'Table Games'!K13+Video!G11</f>
        <v>13574.550000000001</v>
      </c>
      <c r="M14" s="6">
        <f>Video!H11</f>
        <v>2406.5800000000004</v>
      </c>
      <c r="N14" s="6">
        <f>'Table Games'!L13+Video!I11</f>
        <v>84968.17</v>
      </c>
    </row>
    <row r="15" spans="1:14" ht="15" customHeight="1" x14ac:dyDescent="0.25">
      <c r="A15" s="10">
        <f>Video!A12</f>
        <v>45885</v>
      </c>
      <c r="B15" s="6">
        <f>'Table Games'!B14</f>
        <v>-5502</v>
      </c>
      <c r="C15" s="6">
        <f>'Table Games'!C14</f>
        <v>21413</v>
      </c>
      <c r="D15" s="6">
        <f>'Table Games'!D14</f>
        <v>0</v>
      </c>
      <c r="E15" s="6">
        <f>'Table Games'!E14</f>
        <v>0</v>
      </c>
      <c r="F15" s="6">
        <f>'Table Games'!F14</f>
        <v>1696.5</v>
      </c>
      <c r="G15" s="6">
        <f>'Table Games'!G14</f>
        <v>15549</v>
      </c>
      <c r="H15" s="6">
        <f>'Table Games'!H14</f>
        <v>-7062</v>
      </c>
      <c r="I15" s="6">
        <f>'Table Games'!I14</f>
        <v>26094.5</v>
      </c>
      <c r="J15" s="6">
        <f>Video!E12</f>
        <v>60061.780000000028</v>
      </c>
      <c r="K15" s="6">
        <f>'Table Games'!J14+Video!F12</f>
        <v>29450.590000000004</v>
      </c>
      <c r="L15" s="6">
        <f>'Table Games'!K14+Video!G12</f>
        <v>11515.24</v>
      </c>
      <c r="M15" s="6">
        <f>Video!H12</f>
        <v>2822.9</v>
      </c>
      <c r="N15" s="6">
        <f>'Table Games'!L14+Video!I12</f>
        <v>42367.55</v>
      </c>
    </row>
    <row r="16" spans="1:14" ht="15" customHeight="1" x14ac:dyDescent="0.25">
      <c r="A16" s="10">
        <f>Video!A13</f>
        <v>45892</v>
      </c>
      <c r="B16" s="6">
        <f>'Table Games'!B15</f>
        <v>-15660</v>
      </c>
      <c r="C16" s="6">
        <f>'Table Games'!C15</f>
        <v>-3696</v>
      </c>
      <c r="D16" s="6">
        <f>'Table Games'!D15</f>
        <v>17636.5</v>
      </c>
      <c r="E16" s="6">
        <f>'Table Games'!E15</f>
        <v>0</v>
      </c>
      <c r="F16" s="6">
        <f>'Table Games'!F15</f>
        <v>17177</v>
      </c>
      <c r="G16" s="6">
        <f>'Table Games'!G15</f>
        <v>0</v>
      </c>
      <c r="H16" s="6">
        <f>'Table Games'!H15</f>
        <v>12693</v>
      </c>
      <c r="I16" s="6">
        <f>'Table Games'!I15</f>
        <v>28150.5</v>
      </c>
      <c r="J16" s="6">
        <f>Video!E13</f>
        <v>143329.58000000007</v>
      </c>
      <c r="K16" s="6">
        <f>'Table Games'!J15+Video!F13</f>
        <v>60043.8</v>
      </c>
      <c r="L16" s="6">
        <f>'Table Games'!K15+Video!G13</f>
        <v>25773.55</v>
      </c>
      <c r="M16" s="6">
        <f>Video!H13</f>
        <v>6736.5</v>
      </c>
      <c r="N16" s="6">
        <f>'Table Games'!L15+Video!I13</f>
        <v>78926.23000000001</v>
      </c>
    </row>
    <row r="17" spans="1:14" ht="15" customHeight="1" x14ac:dyDescent="0.25">
      <c r="A17" s="10">
        <f>Video!A14</f>
        <v>45899</v>
      </c>
      <c r="B17" s="6">
        <f>'Table Games'!B16</f>
        <v>79000.5</v>
      </c>
      <c r="C17" s="6">
        <f>'Table Games'!C16</f>
        <v>-19084</v>
      </c>
      <c r="D17" s="6">
        <f>'Table Games'!D16</f>
        <v>0</v>
      </c>
      <c r="E17" s="6">
        <f>'Table Games'!E16</f>
        <v>0</v>
      </c>
      <c r="F17" s="6">
        <f>'Table Games'!F16</f>
        <v>8217</v>
      </c>
      <c r="G17" s="6">
        <f>'Table Games'!G16</f>
        <v>0</v>
      </c>
      <c r="H17" s="6">
        <f>'Table Games'!H16</f>
        <v>19215</v>
      </c>
      <c r="I17" s="6">
        <f>'Table Games'!I16</f>
        <v>87348.5</v>
      </c>
      <c r="J17" s="6">
        <f>Video!E14</f>
        <v>71187.289999999921</v>
      </c>
      <c r="K17" s="6">
        <f>'Table Games'!J16+Video!F14</f>
        <v>51831.99</v>
      </c>
      <c r="L17" s="6">
        <f>'Table Games'!K16+Video!G14</f>
        <v>16469.27</v>
      </c>
      <c r="M17" s="6">
        <f>Video!H14</f>
        <v>3345.8</v>
      </c>
      <c r="N17" s="6">
        <f>'Table Games'!L16+Video!I14</f>
        <v>86888.73</v>
      </c>
    </row>
    <row r="18" spans="1:14" ht="15" customHeight="1" x14ac:dyDescent="0.25">
      <c r="A18" s="10">
        <f>Video!A15</f>
        <v>45906</v>
      </c>
      <c r="B18" s="6">
        <f>'Table Games'!B17</f>
        <v>9754</v>
      </c>
      <c r="C18" s="6">
        <f>'Table Games'!C17</f>
        <v>4593</v>
      </c>
      <c r="D18" s="6">
        <f>'Table Games'!D17</f>
        <v>0</v>
      </c>
      <c r="E18" s="6">
        <f>'Table Games'!E17</f>
        <v>0</v>
      </c>
      <c r="F18" s="6">
        <f>'Table Games'!F17</f>
        <v>5209</v>
      </c>
      <c r="G18" s="6">
        <f>'Table Games'!G17</f>
        <v>0</v>
      </c>
      <c r="H18" s="6">
        <f>'Table Games'!H17</f>
        <v>5367</v>
      </c>
      <c r="I18" s="6">
        <f>'Table Games'!I17</f>
        <v>24923</v>
      </c>
      <c r="J18" s="6">
        <f>Video!E15</f>
        <v>4721.7500000000582</v>
      </c>
      <c r="K18" s="6">
        <f>'Table Games'!J17+Video!F15</f>
        <v>9176.7099999999991</v>
      </c>
      <c r="L18" s="6">
        <f>'Table Games'!K17+Video!G15</f>
        <v>2048.8500000000004</v>
      </c>
      <c r="M18" s="6">
        <f>Video!H15</f>
        <v>221.92999999999998</v>
      </c>
      <c r="N18" s="6">
        <f>'Table Games'!L17+Video!I15</f>
        <v>18197.260000000002</v>
      </c>
    </row>
    <row r="19" spans="1:14" ht="15" customHeight="1" x14ac:dyDescent="0.25">
      <c r="A19" s="10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ht="15" customHeight="1" thickBot="1" x14ac:dyDescent="0.3">
      <c r="B20" s="7">
        <f t="shared" ref="B20:N20" si="0">SUM(B9:B19)</f>
        <v>445099</v>
      </c>
      <c r="C20" s="7">
        <f t="shared" si="0"/>
        <v>71241</v>
      </c>
      <c r="D20" s="7">
        <f t="shared" si="0"/>
        <v>31812.25</v>
      </c>
      <c r="E20" s="7">
        <f t="shared" si="0"/>
        <v>0</v>
      </c>
      <c r="F20" s="7">
        <f t="shared" si="0"/>
        <v>85999.5</v>
      </c>
      <c r="G20" s="7">
        <f t="shared" si="0"/>
        <v>-43276</v>
      </c>
      <c r="H20" s="7">
        <f t="shared" si="0"/>
        <v>68088</v>
      </c>
      <c r="I20" s="7">
        <f t="shared" si="0"/>
        <v>658963.75</v>
      </c>
      <c r="J20" s="7">
        <f t="shared" si="0"/>
        <v>575233.39999999991</v>
      </c>
      <c r="K20" s="7">
        <f t="shared" si="0"/>
        <v>404773.16000000003</v>
      </c>
      <c r="L20" s="7">
        <f t="shared" si="0"/>
        <v>130737.89000000001</v>
      </c>
      <c r="M20" s="7">
        <f t="shared" si="0"/>
        <v>27035.969999999998</v>
      </c>
      <c r="N20" s="7">
        <f t="shared" si="0"/>
        <v>671650.13</v>
      </c>
    </row>
    <row r="21" spans="1:14" ht="15" customHeight="1" thickTop="1" x14ac:dyDescent="0.25"/>
    <row r="22" spans="1:14" ht="15" customHeight="1" x14ac:dyDescent="0.25">
      <c r="A22" s="15" t="s">
        <v>31</v>
      </c>
    </row>
    <row r="23" spans="1:14" ht="15" customHeight="1" x14ac:dyDescent="0.25">
      <c r="A23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7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1"/>
  <sheetViews>
    <sheetView zoomScaleNormal="100" workbookViewId="0">
      <pane ySplit="5" topLeftCell="A6" activePane="bottomLeft" state="frozen"/>
      <selection pane="bottomLeft" activeCell="A19" sqref="A19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26</v>
      </c>
      <c r="C2" s="9">
        <v>2</v>
      </c>
      <c r="D2" s="4">
        <v>1</v>
      </c>
      <c r="E2" s="4"/>
      <c r="F2" s="4">
        <v>2</v>
      </c>
      <c r="G2" s="4">
        <v>1</v>
      </c>
      <c r="H2" s="4">
        <v>1</v>
      </c>
      <c r="I2" s="4">
        <f>SUM(B2:H2)</f>
        <v>33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32</v>
      </c>
      <c r="B4" s="14">
        <v>3696135.5</v>
      </c>
      <c r="C4" s="14">
        <v>490109</v>
      </c>
      <c r="D4" s="14">
        <v>49623.75</v>
      </c>
      <c r="E4" s="14">
        <v>980</v>
      </c>
      <c r="F4" s="14">
        <v>378755</v>
      </c>
      <c r="G4" s="14">
        <v>5008</v>
      </c>
      <c r="H4" s="14">
        <v>252785.997</v>
      </c>
      <c r="I4" s="14">
        <v>4873397.2469999995</v>
      </c>
      <c r="J4" s="14">
        <v>1462019.1999999995</v>
      </c>
      <c r="K4" s="14">
        <v>243669.96000000005</v>
      </c>
      <c r="L4" s="14">
        <v>3167708.0000000005</v>
      </c>
    </row>
    <row r="6" spans="1:12" ht="15" customHeight="1" x14ac:dyDescent="0.25">
      <c r="A6" s="19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tr">
        <f>Video!A6</f>
        <v>7/5/2025 *</v>
      </c>
      <c r="B8" s="6">
        <v>52513</v>
      </c>
      <c r="C8" s="6">
        <v>-2279</v>
      </c>
      <c r="D8" s="6">
        <v>0</v>
      </c>
      <c r="E8" s="6">
        <v>0</v>
      </c>
      <c r="F8" s="6">
        <v>4589</v>
      </c>
      <c r="G8" s="6">
        <v>0</v>
      </c>
      <c r="H8" s="6">
        <v>4479</v>
      </c>
      <c r="I8" s="6">
        <f t="shared" ref="I8" si="0">SUM(B8:H8)</f>
        <v>59302</v>
      </c>
      <c r="J8" s="6">
        <f t="shared" ref="J8:J17" si="1">ROUND($I8*0.3,2)</f>
        <v>17790.599999999999</v>
      </c>
      <c r="K8" s="6">
        <f t="shared" ref="K8:K17" si="2">ROUND($I8*0.05,2)</f>
        <v>2965.1</v>
      </c>
      <c r="L8" s="6">
        <f>ROUND($I8*0.65,2)</f>
        <v>38546.300000000003</v>
      </c>
    </row>
    <row r="9" spans="1:12" ht="15" customHeight="1" x14ac:dyDescent="0.25">
      <c r="A9" s="10">
        <f>Video!A7</f>
        <v>45850</v>
      </c>
      <c r="B9" s="6">
        <v>55388</v>
      </c>
      <c r="C9" s="6">
        <v>4622</v>
      </c>
      <c r="D9" s="6">
        <v>0</v>
      </c>
      <c r="E9" s="6">
        <v>0</v>
      </c>
      <c r="F9" s="6">
        <v>17497</v>
      </c>
      <c r="G9" s="6">
        <v>6575</v>
      </c>
      <c r="H9" s="6">
        <v>2811</v>
      </c>
      <c r="I9" s="6">
        <f t="shared" ref="I9" si="3">SUM(B9:H9)</f>
        <v>86893</v>
      </c>
      <c r="J9" s="6">
        <f t="shared" si="1"/>
        <v>26067.9</v>
      </c>
      <c r="K9" s="6">
        <f t="shared" si="2"/>
        <v>4344.6499999999996</v>
      </c>
      <c r="L9" s="6">
        <f>ROUND($I9*0.65,2)</f>
        <v>56480.45</v>
      </c>
    </row>
    <row r="10" spans="1:12" ht="15" customHeight="1" x14ac:dyDescent="0.25">
      <c r="A10" s="10">
        <f>Video!A8</f>
        <v>45857</v>
      </c>
      <c r="B10" s="6">
        <v>-62034.5</v>
      </c>
      <c r="C10" s="6">
        <v>58278</v>
      </c>
      <c r="D10" s="6">
        <v>1018.75</v>
      </c>
      <c r="E10" s="6">
        <v>0</v>
      </c>
      <c r="F10" s="6">
        <v>3133</v>
      </c>
      <c r="G10" s="6">
        <v>0</v>
      </c>
      <c r="H10" s="6">
        <v>681</v>
      </c>
      <c r="I10" s="6">
        <f t="shared" ref="I10" si="4">SUM(B10:H10)</f>
        <v>1076.25</v>
      </c>
      <c r="J10" s="6">
        <f t="shared" si="1"/>
        <v>322.88</v>
      </c>
      <c r="K10" s="6">
        <f t="shared" si="2"/>
        <v>53.81</v>
      </c>
      <c r="L10" s="6">
        <f>ROUND($I10*0.65,2)</f>
        <v>699.56</v>
      </c>
    </row>
    <row r="11" spans="1:12" ht="15" customHeight="1" x14ac:dyDescent="0.25">
      <c r="A11" s="10">
        <f>Video!A9</f>
        <v>45864</v>
      </c>
      <c r="B11" s="6">
        <v>135325.5</v>
      </c>
      <c r="C11" s="6">
        <v>-23329</v>
      </c>
      <c r="D11" s="6">
        <v>0</v>
      </c>
      <c r="E11" s="6">
        <v>0</v>
      </c>
      <c r="F11" s="6">
        <v>11822</v>
      </c>
      <c r="G11" s="6">
        <v>0</v>
      </c>
      <c r="H11" s="6">
        <v>17617</v>
      </c>
      <c r="I11" s="6">
        <f t="shared" ref="I11" si="5">SUM(B11:H11)</f>
        <v>141435.5</v>
      </c>
      <c r="J11" s="6">
        <f t="shared" si="1"/>
        <v>42430.65</v>
      </c>
      <c r="K11" s="6">
        <f t="shared" si="2"/>
        <v>7071.78</v>
      </c>
      <c r="L11" s="6">
        <f>ROUND($I11*0.65,2)-0.01</f>
        <v>91933.07</v>
      </c>
    </row>
    <row r="12" spans="1:12" ht="15" customHeight="1" x14ac:dyDescent="0.25">
      <c r="A12" s="10">
        <f>Video!A10</f>
        <v>45871</v>
      </c>
      <c r="B12" s="6">
        <v>79056</v>
      </c>
      <c r="C12" s="6">
        <v>52781</v>
      </c>
      <c r="D12" s="6">
        <v>3865</v>
      </c>
      <c r="E12" s="6">
        <v>0</v>
      </c>
      <c r="F12" s="6">
        <v>10669</v>
      </c>
      <c r="G12" s="6">
        <v>-49925</v>
      </c>
      <c r="H12" s="6">
        <v>9896</v>
      </c>
      <c r="I12" s="6">
        <f t="shared" ref="I12" si="6">SUM(B12:H12)</f>
        <v>106342</v>
      </c>
      <c r="J12" s="6">
        <f t="shared" si="1"/>
        <v>31902.6</v>
      </c>
      <c r="K12" s="6">
        <f t="shared" si="2"/>
        <v>5317.1</v>
      </c>
      <c r="L12" s="6">
        <f>ROUND($I12*0.65,2)</f>
        <v>69122.3</v>
      </c>
    </row>
    <row r="13" spans="1:12" ht="15" customHeight="1" x14ac:dyDescent="0.25">
      <c r="A13" s="10">
        <f>Video!A11</f>
        <v>45878</v>
      </c>
      <c r="B13" s="6">
        <v>117258.5</v>
      </c>
      <c r="C13" s="6">
        <v>-22058</v>
      </c>
      <c r="D13" s="6">
        <v>9292</v>
      </c>
      <c r="E13" s="6">
        <v>0</v>
      </c>
      <c r="F13" s="6">
        <v>5990</v>
      </c>
      <c r="G13" s="6">
        <v>-15475</v>
      </c>
      <c r="H13" s="6">
        <v>2391</v>
      </c>
      <c r="I13" s="6">
        <f t="shared" ref="I13" si="7">SUM(B13:H13)</f>
        <v>97398.5</v>
      </c>
      <c r="J13" s="6">
        <f t="shared" si="1"/>
        <v>29219.55</v>
      </c>
      <c r="K13" s="6">
        <f t="shared" si="2"/>
        <v>4869.93</v>
      </c>
      <c r="L13" s="6">
        <f>ROUND($I13*0.65,2)-0.01</f>
        <v>63309.02</v>
      </c>
    </row>
    <row r="14" spans="1:12" ht="15" customHeight="1" x14ac:dyDescent="0.25">
      <c r="A14" s="10">
        <f>Video!A12</f>
        <v>45885</v>
      </c>
      <c r="B14" s="6">
        <v>-5502</v>
      </c>
      <c r="C14" s="6">
        <v>21413</v>
      </c>
      <c r="D14" s="6">
        <v>0</v>
      </c>
      <c r="E14" s="6">
        <v>0</v>
      </c>
      <c r="F14" s="6">
        <v>1696.5</v>
      </c>
      <c r="G14" s="6">
        <v>15549</v>
      </c>
      <c r="H14" s="6">
        <v>-7062</v>
      </c>
      <c r="I14" s="6">
        <f t="shared" ref="I14" si="8">SUM(B14:H14)</f>
        <v>26094.5</v>
      </c>
      <c r="J14" s="6">
        <f t="shared" si="1"/>
        <v>7828.35</v>
      </c>
      <c r="K14" s="6">
        <f t="shared" si="2"/>
        <v>1304.73</v>
      </c>
      <c r="L14" s="6">
        <f>ROUND($I14*0.65,2)-0.01</f>
        <v>16961.420000000002</v>
      </c>
    </row>
    <row r="15" spans="1:12" ht="15" customHeight="1" x14ac:dyDescent="0.25">
      <c r="A15" s="10">
        <f>Video!A13</f>
        <v>45892</v>
      </c>
      <c r="B15" s="6">
        <v>-15660</v>
      </c>
      <c r="C15" s="6">
        <v>-3696</v>
      </c>
      <c r="D15" s="6">
        <v>17636.5</v>
      </c>
      <c r="E15" s="6">
        <v>0</v>
      </c>
      <c r="F15" s="6">
        <v>17177</v>
      </c>
      <c r="G15" s="6">
        <v>0</v>
      </c>
      <c r="H15" s="6">
        <v>12693</v>
      </c>
      <c r="I15" s="6">
        <f t="shared" ref="I15" si="9">SUM(B15:H15)</f>
        <v>28150.5</v>
      </c>
      <c r="J15" s="6">
        <f t="shared" si="1"/>
        <v>8445.15</v>
      </c>
      <c r="K15" s="6">
        <f t="shared" si="2"/>
        <v>1407.53</v>
      </c>
      <c r="L15" s="6">
        <f>ROUND($I15*0.65,2)-0.01</f>
        <v>18297.820000000003</v>
      </c>
    </row>
    <row r="16" spans="1:12" ht="15" customHeight="1" x14ac:dyDescent="0.25">
      <c r="A16" s="10">
        <f>Video!A14</f>
        <v>45899</v>
      </c>
      <c r="B16" s="6">
        <v>79000.5</v>
      </c>
      <c r="C16" s="6">
        <v>-19084</v>
      </c>
      <c r="D16" s="6">
        <v>0</v>
      </c>
      <c r="E16" s="6">
        <v>0</v>
      </c>
      <c r="F16" s="6">
        <v>8217</v>
      </c>
      <c r="G16" s="6">
        <v>0</v>
      </c>
      <c r="H16" s="6">
        <v>19215</v>
      </c>
      <c r="I16" s="6">
        <f t="shared" ref="I16" si="10">SUM(B16:H16)</f>
        <v>87348.5</v>
      </c>
      <c r="J16" s="6">
        <f t="shared" si="1"/>
        <v>26204.55</v>
      </c>
      <c r="K16" s="6">
        <f t="shared" si="2"/>
        <v>4367.43</v>
      </c>
      <c r="L16" s="6">
        <f>ROUND($I16*0.65,2)-0.01</f>
        <v>56776.52</v>
      </c>
    </row>
    <row r="17" spans="1:12" ht="15" customHeight="1" x14ac:dyDescent="0.25">
      <c r="A17" s="10">
        <f>Video!A15</f>
        <v>45906</v>
      </c>
      <c r="B17" s="6">
        <v>9754</v>
      </c>
      <c r="C17" s="6">
        <v>4593</v>
      </c>
      <c r="D17" s="6">
        <v>0</v>
      </c>
      <c r="E17" s="6">
        <v>0</v>
      </c>
      <c r="F17" s="6">
        <v>5209</v>
      </c>
      <c r="G17" s="6">
        <v>0</v>
      </c>
      <c r="H17" s="6">
        <v>5367</v>
      </c>
      <c r="I17" s="6">
        <f t="shared" ref="I17" si="11">SUM(B17:H17)</f>
        <v>24923</v>
      </c>
      <c r="J17" s="6">
        <f t="shared" si="1"/>
        <v>7476.9</v>
      </c>
      <c r="K17" s="6">
        <f t="shared" si="2"/>
        <v>1246.1500000000001</v>
      </c>
      <c r="L17" s="6">
        <f>ROUND($I17*0.65,2)</f>
        <v>16199.95</v>
      </c>
    </row>
    <row r="18" spans="1:12" ht="15" customHeight="1" x14ac:dyDescent="0.25">
      <c r="A18" s="10"/>
      <c r="B18" s="6"/>
      <c r="C18" s="6"/>
      <c r="D18" s="6"/>
      <c r="E18" s="6"/>
      <c r="F18" s="6"/>
      <c r="G18" s="6"/>
      <c r="H18" s="6" t="s">
        <v>30</v>
      </c>
      <c r="I18" s="6"/>
      <c r="J18" s="6"/>
      <c r="K18" s="6"/>
      <c r="L18" s="6"/>
    </row>
    <row r="19" spans="1:12" ht="15" customHeight="1" thickBot="1" x14ac:dyDescent="0.3">
      <c r="B19" s="7">
        <f t="shared" ref="B19:L19" si="12">SUM(B8:B18)</f>
        <v>445099</v>
      </c>
      <c r="C19" s="7">
        <f t="shared" si="12"/>
        <v>71241</v>
      </c>
      <c r="D19" s="7">
        <f t="shared" si="12"/>
        <v>31812.25</v>
      </c>
      <c r="E19" s="7">
        <f t="shared" si="12"/>
        <v>0</v>
      </c>
      <c r="F19" s="7">
        <f t="shared" si="12"/>
        <v>85999.5</v>
      </c>
      <c r="G19" s="7">
        <f t="shared" si="12"/>
        <v>-43276</v>
      </c>
      <c r="H19" s="7">
        <f t="shared" si="12"/>
        <v>68088</v>
      </c>
      <c r="I19" s="7">
        <f t="shared" si="12"/>
        <v>658963.75</v>
      </c>
      <c r="J19" s="7">
        <f t="shared" si="12"/>
        <v>197689.12999999998</v>
      </c>
      <c r="K19" s="7">
        <f t="shared" si="12"/>
        <v>32948.21</v>
      </c>
      <c r="L19" s="7">
        <f t="shared" si="12"/>
        <v>428326.41000000003</v>
      </c>
    </row>
    <row r="20" spans="1:12" ht="15" customHeight="1" thickTop="1" x14ac:dyDescent="0.25"/>
    <row r="21" spans="1:12" ht="15" customHeight="1" x14ac:dyDescent="0.25">
      <c r="A21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0"/>
  <sheetViews>
    <sheetView zoomScaleNormal="100" workbookViewId="0">
      <pane ySplit="3" topLeftCell="A4" activePane="bottomLeft" state="frozen"/>
      <selection pane="bottomLeft" activeCell="A17" sqref="A17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32</v>
      </c>
      <c r="B2" s="14">
        <v>46433344.560000002</v>
      </c>
      <c r="C2" s="14">
        <v>43022717.43999999</v>
      </c>
      <c r="D2" s="14">
        <v>896259.8</v>
      </c>
      <c r="E2" s="14">
        <v>2514367.3200000003</v>
      </c>
      <c r="F2" s="14">
        <v>905171.97999999963</v>
      </c>
      <c r="G2" s="14">
        <v>427442.44999999978</v>
      </c>
      <c r="H2" s="14">
        <v>118175.39000000004</v>
      </c>
      <c r="I2" s="14">
        <v>1063577.5000000002</v>
      </c>
      <c r="J2" s="14">
        <v>443.85</v>
      </c>
      <c r="K2" s="9">
        <v>103</v>
      </c>
    </row>
    <row r="4" spans="1:11" ht="15" customHeight="1" x14ac:dyDescent="0.25">
      <c r="A4" s="19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34</v>
      </c>
      <c r="B6" s="6">
        <v>871449.8600000001</v>
      </c>
      <c r="C6" s="6">
        <v>824572.37999999989</v>
      </c>
      <c r="D6" s="6">
        <v>10274</v>
      </c>
      <c r="E6" s="6">
        <v>36603.480000000025</v>
      </c>
      <c r="F6" s="6">
        <v>13177.26</v>
      </c>
      <c r="G6" s="6">
        <v>6222.59</v>
      </c>
      <c r="H6" s="6">
        <v>1720.3600000000001</v>
      </c>
      <c r="I6" s="6">
        <v>15483.27</v>
      </c>
      <c r="J6" s="11">
        <f t="shared" ref="J6:J7" si="0">E6/K6</f>
        <v>307.59226890756321</v>
      </c>
      <c r="K6" s="9">
        <v>119</v>
      </c>
    </row>
    <row r="7" spans="1:11" ht="15" customHeight="1" x14ac:dyDescent="0.25">
      <c r="A7" s="10">
        <v>45850</v>
      </c>
      <c r="B7" s="6">
        <v>971152.38</v>
      </c>
      <c r="C7" s="6">
        <v>903304.04</v>
      </c>
      <c r="D7" s="6">
        <v>14140</v>
      </c>
      <c r="E7" s="6">
        <f t="shared" ref="E7" si="1">B7-C7-D7</f>
        <v>53708.339999999967</v>
      </c>
      <c r="F7" s="6">
        <f>ROUND($E7*0.36,2)-0.02</f>
        <v>19334.98</v>
      </c>
      <c r="G7" s="6">
        <f>ROUND($E7*0.17,2)</f>
        <v>9130.42</v>
      </c>
      <c r="H7" s="6">
        <f>ROUND($E7*0.047,2)+0.01</f>
        <v>2524.3000000000002</v>
      </c>
      <c r="I7" s="6">
        <f>ROUND($E7*0.423,2)+0.01</f>
        <v>22718.639999999999</v>
      </c>
      <c r="J7" s="11">
        <f t="shared" si="0"/>
        <v>516.42634615384588</v>
      </c>
      <c r="K7" s="9">
        <v>104</v>
      </c>
    </row>
    <row r="8" spans="1:11" ht="15" customHeight="1" x14ac:dyDescent="0.25">
      <c r="A8" s="10">
        <f t="shared" ref="A8:A15" si="2">A7+7</f>
        <v>45857</v>
      </c>
      <c r="B8" s="6">
        <v>786620.75</v>
      </c>
      <c r="C8" s="6">
        <v>817035.88</v>
      </c>
      <c r="D8" s="6">
        <v>17388</v>
      </c>
      <c r="E8" s="6">
        <f t="shared" ref="E8" si="3">B8-C8-D8</f>
        <v>-47803.130000000005</v>
      </c>
      <c r="F8" s="6">
        <f>ROUND($E8*0.36,2)+0.02</f>
        <v>-17209.11</v>
      </c>
      <c r="G8" s="6">
        <f>ROUND($E8*0.17,2)</f>
        <v>-8126.53</v>
      </c>
      <c r="H8" s="6">
        <f>ROUND($E8*0.047,2)-0.01</f>
        <v>-2246.7600000000002</v>
      </c>
      <c r="I8" s="6">
        <f>ROUND($E8*0.423,2)-0.01</f>
        <v>-20220.73</v>
      </c>
      <c r="J8" s="11">
        <f t="shared" ref="J8" si="4">E8/K8</f>
        <v>-423.03654867256643</v>
      </c>
      <c r="K8" s="9">
        <v>113</v>
      </c>
    </row>
    <row r="9" spans="1:11" ht="15" customHeight="1" x14ac:dyDescent="0.25">
      <c r="A9" s="10">
        <f t="shared" si="2"/>
        <v>45864</v>
      </c>
      <c r="B9" s="6">
        <v>2080409.93</v>
      </c>
      <c r="C9" s="6">
        <v>1945148.88</v>
      </c>
      <c r="D9" s="6">
        <v>60348</v>
      </c>
      <c r="E9" s="6">
        <f t="shared" ref="E9" si="5">B9-C9-D9</f>
        <v>74913.050000000047</v>
      </c>
      <c r="F9" s="6">
        <f>ROUND($E9*0.36,2)+0.01</f>
        <v>26968.71</v>
      </c>
      <c r="G9" s="6">
        <f>ROUND($E9*0.17,2)-0.01</f>
        <v>12735.21</v>
      </c>
      <c r="H9" s="6">
        <f>ROUND($E9*0.047,2)</f>
        <v>3520.91</v>
      </c>
      <c r="I9" s="6">
        <f>ROUND($E9*0.423,2)</f>
        <v>31688.22</v>
      </c>
      <c r="J9" s="11">
        <f t="shared" ref="J9" si="6">E9/K9</f>
        <v>599.30440000000033</v>
      </c>
      <c r="K9" s="9">
        <v>125</v>
      </c>
    </row>
    <row r="10" spans="1:11" ht="15" customHeight="1" x14ac:dyDescent="0.25">
      <c r="A10" s="10">
        <f t="shared" si="2"/>
        <v>45871</v>
      </c>
      <c r="B10" s="6">
        <v>1522295.3199999998</v>
      </c>
      <c r="C10" s="6">
        <v>1365271.73</v>
      </c>
      <c r="D10" s="6">
        <v>29716</v>
      </c>
      <c r="E10" s="6">
        <f t="shared" ref="E10" si="7">B10-C10-D10</f>
        <v>127307.58999999985</v>
      </c>
      <c r="F10" s="6">
        <f>ROUND($E10*0.36,2)</f>
        <v>45830.73</v>
      </c>
      <c r="G10" s="6">
        <f>ROUND($E10*0.17,2)+0.01</f>
        <v>21642.3</v>
      </c>
      <c r="H10" s="6">
        <f>ROUND($E10*0.047,2)-0.01</f>
        <v>5983.45</v>
      </c>
      <c r="I10" s="6">
        <f>ROUND($E10*0.423,2)</f>
        <v>53851.11</v>
      </c>
      <c r="J10" s="11">
        <f t="shared" ref="J10" si="8">E10/K10</f>
        <v>1248.113627450979</v>
      </c>
      <c r="K10" s="9">
        <v>102</v>
      </c>
    </row>
    <row r="11" spans="1:11" ht="15" customHeight="1" x14ac:dyDescent="0.25">
      <c r="A11" s="10">
        <f t="shared" si="2"/>
        <v>45878</v>
      </c>
      <c r="B11" s="6">
        <v>701731.87</v>
      </c>
      <c r="C11" s="6">
        <v>640443.20000000007</v>
      </c>
      <c r="D11" s="6">
        <v>10085</v>
      </c>
      <c r="E11" s="6">
        <f t="shared" ref="E11" si="9">B11-C11-D11</f>
        <v>51203.669999999925</v>
      </c>
      <c r="F11" s="6">
        <f>ROUND($E11*0.36,2)</f>
        <v>18433.32</v>
      </c>
      <c r="G11" s="6">
        <f>ROUND($E11*0.17,2)</f>
        <v>8704.6200000000008</v>
      </c>
      <c r="H11" s="6">
        <f>ROUND($E11*0.047,2)+0.01</f>
        <v>2406.5800000000004</v>
      </c>
      <c r="I11" s="6">
        <f>ROUND($E11*0.423,2)</f>
        <v>21659.15</v>
      </c>
      <c r="J11" s="11">
        <f t="shared" ref="J11" si="10">E11/K11</f>
        <v>517.20878787878712</v>
      </c>
      <c r="K11" s="9">
        <v>99</v>
      </c>
    </row>
    <row r="12" spans="1:11" ht="15" customHeight="1" x14ac:dyDescent="0.25">
      <c r="A12" s="10">
        <f t="shared" si="2"/>
        <v>45885</v>
      </c>
      <c r="B12" s="6">
        <v>905788.5</v>
      </c>
      <c r="C12" s="6">
        <v>832728.72</v>
      </c>
      <c r="D12" s="6">
        <v>12998</v>
      </c>
      <c r="E12" s="6">
        <f t="shared" ref="E12" si="11">B12-C12-D12</f>
        <v>60061.780000000028</v>
      </c>
      <c r="F12" s="6">
        <f>ROUND($E12*0.36,2)</f>
        <v>21622.240000000002</v>
      </c>
      <c r="G12" s="6">
        <f>ROUND($E12*0.17,2)+0.01</f>
        <v>10210.51</v>
      </c>
      <c r="H12" s="6">
        <f>ROUND($E12*0.047,2)</f>
        <v>2822.9</v>
      </c>
      <c r="I12" s="6">
        <f>ROUND($E12*0.423,2)</f>
        <v>25406.13</v>
      </c>
      <c r="J12" s="11">
        <f t="shared" ref="J12" si="12">E12/K12</f>
        <v>561.32504672897221</v>
      </c>
      <c r="K12" s="9">
        <v>107</v>
      </c>
    </row>
    <row r="13" spans="1:11" ht="15" customHeight="1" x14ac:dyDescent="0.25">
      <c r="A13" s="10">
        <f t="shared" si="2"/>
        <v>45892</v>
      </c>
      <c r="B13" s="6">
        <v>1751995.44</v>
      </c>
      <c r="C13" s="6">
        <v>1566525.8599999999</v>
      </c>
      <c r="D13" s="6">
        <v>42140</v>
      </c>
      <c r="E13" s="6">
        <f t="shared" ref="E13" si="13">B13-C13-D13</f>
        <v>143329.58000000007</v>
      </c>
      <c r="F13" s="6">
        <f>ROUND($E13*0.36,2)</f>
        <v>51598.65</v>
      </c>
      <c r="G13" s="6">
        <f>ROUND($E13*0.17,2)-0.01</f>
        <v>24366.02</v>
      </c>
      <c r="H13" s="6">
        <f>ROUND($E13*0.047,2)+0.01</f>
        <v>6736.5</v>
      </c>
      <c r="I13" s="6">
        <f>ROUND($E13*0.423,2)</f>
        <v>60628.41</v>
      </c>
      <c r="J13" s="11">
        <f t="shared" ref="J13" si="14">E13/K13</f>
        <v>1365.0436190476198</v>
      </c>
      <c r="K13" s="9">
        <v>105</v>
      </c>
    </row>
    <row r="14" spans="1:11" ht="15" customHeight="1" x14ac:dyDescent="0.25">
      <c r="A14" s="10">
        <f t="shared" si="2"/>
        <v>45899</v>
      </c>
      <c r="B14" s="6">
        <v>870846.26</v>
      </c>
      <c r="C14" s="6">
        <v>784991.97000000009</v>
      </c>
      <c r="D14" s="6">
        <v>14667</v>
      </c>
      <c r="E14" s="6">
        <f t="shared" ref="E14" si="15">B14-C14-D14</f>
        <v>71187.289999999921</v>
      </c>
      <c r="F14" s="6">
        <f>ROUND($E14*0.36,2)+0.02</f>
        <v>25627.439999999999</v>
      </c>
      <c r="G14" s="6">
        <f>ROUND($E14*0.17,2)</f>
        <v>12101.84</v>
      </c>
      <c r="H14" s="6">
        <f>ROUND($E14*0.047,2)</f>
        <v>3345.8</v>
      </c>
      <c r="I14" s="6">
        <f>ROUND($E14*0.423,2)-0.01</f>
        <v>30112.210000000003</v>
      </c>
      <c r="J14" s="11">
        <f t="shared" ref="J14" si="16">E14/K14</f>
        <v>749.3398947368413</v>
      </c>
      <c r="K14" s="9">
        <v>95</v>
      </c>
    </row>
    <row r="15" spans="1:11" ht="15" customHeight="1" x14ac:dyDescent="0.25">
      <c r="A15" s="10">
        <f t="shared" si="2"/>
        <v>45906</v>
      </c>
      <c r="B15" s="6">
        <v>267739.79000000004</v>
      </c>
      <c r="C15" s="6">
        <v>258676.03999999998</v>
      </c>
      <c r="D15" s="6">
        <v>4342</v>
      </c>
      <c r="E15" s="6">
        <f t="shared" ref="E15" si="17">B15-C15-D15</f>
        <v>4721.7500000000582</v>
      </c>
      <c r="F15" s="6">
        <f>ROUND($E15*0.36,2)-0.02</f>
        <v>1699.81</v>
      </c>
      <c r="G15" s="6">
        <f>ROUND($E15*0.17,2)</f>
        <v>802.7</v>
      </c>
      <c r="H15" s="6">
        <f>ROUND($E15*0.047,2)+0.01</f>
        <v>221.92999999999998</v>
      </c>
      <c r="I15" s="6">
        <f>ROUND($E15*0.423,2)+0.01</f>
        <v>1997.31</v>
      </c>
      <c r="J15" s="11">
        <f t="shared" ref="J15" si="18">E15/K15</f>
        <v>57.582317073171438</v>
      </c>
      <c r="K15" s="9">
        <v>82</v>
      </c>
    </row>
    <row r="16" spans="1:11" ht="15" customHeight="1" x14ac:dyDescent="0.25">
      <c r="A16" s="10"/>
      <c r="B16" s="6"/>
      <c r="C16" s="6"/>
      <c r="D16" s="6"/>
      <c r="E16" s="6"/>
      <c r="F16" s="6"/>
      <c r="G16" s="6"/>
      <c r="H16" s="6"/>
      <c r="I16" s="6"/>
      <c r="J16" s="11"/>
      <c r="K16" s="9"/>
    </row>
    <row r="17" spans="1:11" ht="15" customHeight="1" thickBot="1" x14ac:dyDescent="0.3">
      <c r="B17" s="7">
        <f t="shared" ref="B17:I17" si="19">SUM(B6:B16)</f>
        <v>10730030.100000001</v>
      </c>
      <c r="C17" s="7">
        <f t="shared" si="19"/>
        <v>9938698.6999999993</v>
      </c>
      <c r="D17" s="7">
        <f t="shared" si="19"/>
        <v>216098</v>
      </c>
      <c r="E17" s="7">
        <f t="shared" si="19"/>
        <v>575233.39999999991</v>
      </c>
      <c r="F17" s="7">
        <f t="shared" si="19"/>
        <v>207084.03000000003</v>
      </c>
      <c r="G17" s="7">
        <f t="shared" si="19"/>
        <v>97789.68</v>
      </c>
      <c r="H17" s="7">
        <f t="shared" si="19"/>
        <v>27035.969999999998</v>
      </c>
      <c r="I17" s="7">
        <f t="shared" si="19"/>
        <v>243323.72</v>
      </c>
      <c r="J17" s="12">
        <f>AVERAGE(J6:J16)</f>
        <v>549.88997593052136</v>
      </c>
      <c r="K17" s="13">
        <f>AVERAGE(K6:K16)</f>
        <v>105.1</v>
      </c>
    </row>
    <row r="18" spans="1:11" ht="15" customHeight="1" thickTop="1" x14ac:dyDescent="0.25"/>
    <row r="19" spans="1:11" ht="15" customHeight="1" x14ac:dyDescent="0.25">
      <c r="A19" s="15" t="s">
        <v>31</v>
      </c>
    </row>
    <row r="20" spans="1:11" ht="15" customHeight="1" x14ac:dyDescent="0.25">
      <c r="A20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2024-05-13T19:02:47Z</cp:lastPrinted>
  <dcterms:created xsi:type="dcterms:W3CDTF">2017-06-16T18:01:39Z</dcterms:created>
  <dcterms:modified xsi:type="dcterms:W3CDTF">2025-09-11T12:17:03Z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